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224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5" i="1" l="1"/>
  <c r="H17" i="1" l="1"/>
  <c r="I15" i="1" l="1"/>
  <c r="I12" i="1"/>
  <c r="D9" i="1" l="1"/>
  <c r="E9" i="1" l="1"/>
  <c r="I13" i="1" l="1"/>
  <c r="J7" i="1" l="1"/>
  <c r="E17" i="1"/>
  <c r="F17" i="1"/>
  <c r="G17" i="1"/>
  <c r="G9" i="1" l="1"/>
  <c r="J13" i="1" l="1"/>
  <c r="C24" i="1" l="1"/>
  <c r="C26" i="1" s="1"/>
  <c r="C27" i="1" s="1"/>
  <c r="J16" i="1"/>
  <c r="J15" i="1"/>
  <c r="J14" i="1"/>
  <c r="J12" i="1"/>
  <c r="J8" i="1"/>
  <c r="J3" i="1"/>
  <c r="J4" i="1"/>
  <c r="D5" i="1"/>
  <c r="C17" i="1"/>
  <c r="C18" i="1" s="1"/>
  <c r="C25" i="1" l="1"/>
  <c r="C29" i="1"/>
  <c r="C34" i="1" s="1"/>
  <c r="C19" i="1"/>
  <c r="C20" i="1" s="1"/>
  <c r="I14" i="1"/>
  <c r="I16" i="1"/>
  <c r="D17" i="1"/>
  <c r="D19" i="1" s="1"/>
  <c r="C30" i="1" l="1"/>
  <c r="C31" i="1" s="1"/>
  <c r="C32" i="1" s="1"/>
  <c r="D20" i="1"/>
  <c r="D22" i="1"/>
  <c r="D24" i="1" s="1"/>
  <c r="C33" i="1" l="1"/>
  <c r="D29" i="1"/>
  <c r="E22" i="1"/>
  <c r="E24" i="1" s="1"/>
  <c r="F22" i="1"/>
  <c r="G22" i="1"/>
  <c r="H22" i="1"/>
  <c r="E10" i="1"/>
  <c r="F9" i="1"/>
  <c r="F10" i="1" s="1"/>
  <c r="G10" i="1"/>
  <c r="H9" i="1"/>
  <c r="H10" i="1" s="1"/>
  <c r="D10" i="1"/>
  <c r="E19" i="1"/>
  <c r="F19" i="1"/>
  <c r="G19" i="1"/>
  <c r="D34" i="1" l="1"/>
  <c r="H24" i="1"/>
  <c r="H26" i="1" s="1"/>
  <c r="G24" i="1"/>
  <c r="G26" i="1" s="1"/>
  <c r="F24" i="1"/>
  <c r="F26" i="1" s="1"/>
  <c r="H19" i="1"/>
  <c r="I19" i="1" s="1"/>
  <c r="J17" i="1"/>
  <c r="J22" i="1"/>
  <c r="J10" i="1"/>
  <c r="J9" i="1"/>
  <c r="D26" i="1"/>
  <c r="D27" i="1" s="1"/>
  <c r="D25" i="1"/>
  <c r="I22" i="1"/>
  <c r="D30" i="1"/>
  <c r="I17" i="1"/>
  <c r="D18" i="1"/>
  <c r="E18" i="1" s="1"/>
  <c r="F18" i="1" s="1"/>
  <c r="G18" i="1" s="1"/>
  <c r="H18" i="1" s="1"/>
  <c r="E26" i="1"/>
  <c r="F29" i="1" l="1"/>
  <c r="F30" i="1" s="1"/>
  <c r="G29" i="1"/>
  <c r="G30" i="1" s="1"/>
  <c r="H29" i="1"/>
  <c r="J24" i="1"/>
  <c r="D31" i="1"/>
  <c r="E29" i="1"/>
  <c r="I24" i="1"/>
  <c r="M31" i="1" s="1"/>
  <c r="M32" i="1" s="1"/>
  <c r="E20" i="1"/>
  <c r="F20" i="1" s="1"/>
  <c r="G20" i="1" s="1"/>
  <c r="H20" i="1" s="1"/>
  <c r="E25" i="1"/>
  <c r="F25" i="1" s="1"/>
  <c r="H34" i="1" l="1"/>
  <c r="M33" i="1"/>
  <c r="F34" i="1"/>
  <c r="J29" i="1"/>
  <c r="H30" i="1"/>
  <c r="G34" i="1"/>
  <c r="E34" i="1"/>
  <c r="E30" i="1"/>
  <c r="E27" i="1"/>
  <c r="F27" i="1" s="1"/>
  <c r="G27" i="1" s="1"/>
  <c r="H27" i="1" s="1"/>
  <c r="I29" i="1"/>
  <c r="I26" i="1"/>
  <c r="M35" i="1" s="1"/>
  <c r="G25" i="1"/>
  <c r="I34" i="1" l="1"/>
  <c r="E31" i="1"/>
  <c r="F31" i="1" s="1"/>
  <c r="G31" i="1" s="1"/>
  <c r="H31" i="1" s="1"/>
  <c r="M30" i="1" s="1"/>
  <c r="M34" i="1"/>
  <c r="I30" i="1"/>
  <c r="D33" i="1"/>
  <c r="D32" i="1"/>
  <c r="H25" i="1"/>
  <c r="E33" i="1" l="1"/>
  <c r="E32" i="1"/>
  <c r="G33" i="1"/>
  <c r="G32" i="1"/>
  <c r="F33" i="1"/>
  <c r="F32" i="1"/>
  <c r="H32" i="1"/>
  <c r="M39" i="1" l="1"/>
  <c r="H33" i="1"/>
  <c r="M40" i="1" s="1"/>
  <c r="I3" i="1"/>
  <c r="I4" i="1"/>
  <c r="E5" i="1"/>
  <c r="F5" i="1"/>
  <c r="G5" i="1"/>
  <c r="J5" i="1"/>
  <c r="M36" i="1" l="1"/>
  <c r="I5" i="1"/>
</calcChain>
</file>

<file path=xl/sharedStrings.xml><?xml version="1.0" encoding="utf-8"?>
<sst xmlns="http://schemas.openxmlformats.org/spreadsheetml/2006/main" count="53" uniqueCount="53">
  <si>
    <t>سال</t>
  </si>
  <si>
    <t>اول</t>
  </si>
  <si>
    <t>دوم</t>
  </si>
  <si>
    <t>سوم</t>
  </si>
  <si>
    <t>چهارم</t>
  </si>
  <si>
    <t>پنجم</t>
  </si>
  <si>
    <t>پیش بینی سهم بازار (درصد)</t>
  </si>
  <si>
    <t>مجموع</t>
  </si>
  <si>
    <t xml:space="preserve">نرخ رشد </t>
  </si>
  <si>
    <t>وضعیت بازار</t>
  </si>
  <si>
    <t>هزینه های پرسنلی</t>
  </si>
  <si>
    <t>خرید تجهیزات</t>
  </si>
  <si>
    <t>خرید مواد و قطعات</t>
  </si>
  <si>
    <t>خرید خدمات آزمایشگاهی</t>
  </si>
  <si>
    <t>هزینه های متفرقه (بازاریابی و ...)</t>
  </si>
  <si>
    <t>سرفصلهای هزینه ای</t>
  </si>
  <si>
    <t>مجموع هزینه های تجمعی</t>
  </si>
  <si>
    <t>قیمت گذاری</t>
  </si>
  <si>
    <t>حاشیه سود (درصد)</t>
  </si>
  <si>
    <t>درآمد فروش محصول (م ریال)</t>
  </si>
  <si>
    <t>مجموع درآمدها (م ریال)</t>
  </si>
  <si>
    <t>درآمد فروش خدمات (م ریال)</t>
  </si>
  <si>
    <t>مجموع درآمدها تجمعی (م ریال)</t>
  </si>
  <si>
    <t>مجموع هزینه ها (م ریال)</t>
  </si>
  <si>
    <t>سرفصلهای درآمدی</t>
  </si>
  <si>
    <t>نرخ تنزیل</t>
  </si>
  <si>
    <t xml:space="preserve">خالص جریان نقدی تنزیل شده تجمعی </t>
  </si>
  <si>
    <t>خالص ارزش فعلی (NPV)</t>
  </si>
  <si>
    <t>نرخ بازگشت سرمایه (ROI)</t>
  </si>
  <si>
    <t>نرخ بازگشت سرمایه سالیانه</t>
  </si>
  <si>
    <t>نرخ بازده داخلی (IRR)</t>
  </si>
  <si>
    <t>بازده داخلی سالیانه</t>
  </si>
  <si>
    <t>شاخص سودآوری (PI)</t>
  </si>
  <si>
    <t>مجموع درآمدهای تنزیل شده دوره ای</t>
  </si>
  <si>
    <t>مجموع هزینه های تنزیل شده دوره ای</t>
  </si>
  <si>
    <t>Positive Cash Flow</t>
  </si>
  <si>
    <t>سال اول مثبت شدن</t>
  </si>
  <si>
    <t>ماه های باقیمانده</t>
  </si>
  <si>
    <t>مجموع هزینه های تنزیل شده  تجمعی</t>
  </si>
  <si>
    <t>مجموع درآمدهای تنزیل شده تجمعی</t>
  </si>
  <si>
    <t>خالص جریان نقدی نتزیل شده  (DNCF) دوره ای</t>
  </si>
  <si>
    <t>دوره بازگشت سرمایه (PP) ماه</t>
  </si>
  <si>
    <t>نسبتهای مالی</t>
  </si>
  <si>
    <t>محاسبات دوره بازگشت سرمایه</t>
  </si>
  <si>
    <t>حاشیه قیمت  (م ریال)</t>
  </si>
  <si>
    <t>فاز ساخت(هزینه های اولیه، سرمایه گذاری، R&amp;D و ...)</t>
  </si>
  <si>
    <t>درصد سود سالیانه</t>
  </si>
  <si>
    <t>خالص جریان نقدی دوره ای (NCF)</t>
  </si>
  <si>
    <t>قیمت فروش محصول (م ریال) (یک محصول)</t>
  </si>
  <si>
    <t>قیمت تمام شده محصول (م ریال) (یک محصول)</t>
  </si>
  <si>
    <t>برآورد حجم کل بازار (تعداد)</t>
  </si>
  <si>
    <t>برآورد فروش شرکت (تعداد)</t>
  </si>
  <si>
    <t>پارامترهای مالی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</si>
</sst>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%"/>
    <numFmt numFmtId="168" formatCode="_(* #,##0.0_);_(* \(#,##0.0\);_(* &quot;-&quot;??_);_(@_)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B Koodak"/>
      <charset val="178"/>
    </font>
    <font>
      <sz val="12"/>
      <color theme="1"/>
      <name val="Times New Roman"/>
      <family val="1"/>
    </font>
    <font>
      <sz val="12"/>
      <name val="B Koodak"/>
      <charset val="178"/>
    </font>
    <font>
      <b/>
      <sz val="18"/>
      <color theme="1"/>
      <name val="B Koodak"/>
      <charset val="17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9" fontId="2" fillId="0" borderId="0" xfId="2" applyFont="1" applyAlignment="1">
      <alignment horizontal="center" vertical="center"/>
    </xf>
    <xf numFmtId="0" fontId="2" fillId="3" borderId="0" xfId="0" applyFont="1" applyFill="1" applyAlignment="1">
      <alignment vertical="center"/>
    </xf>
    <xf numFmtId="165" fontId="2" fillId="0" borderId="0" xfId="1" applyNumberFormat="1" applyFont="1" applyAlignment="1">
      <alignment horizontal="center" vertical="center"/>
    </xf>
    <xf numFmtId="165" fontId="2" fillId="3" borderId="0" xfId="1" applyNumberFormat="1" applyFont="1" applyFill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2" fillId="2" borderId="0" xfId="1" applyNumberFormat="1" applyFont="1" applyFill="1" applyAlignment="1">
      <alignment horizontal="center" vertical="center"/>
    </xf>
    <xf numFmtId="165" fontId="4" fillId="2" borderId="0" xfId="1" applyNumberFormat="1" applyFont="1" applyFill="1" applyAlignment="1">
      <alignment horizontal="center" vertical="center"/>
    </xf>
    <xf numFmtId="9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167" fontId="2" fillId="0" borderId="0" xfId="2" applyNumberFormat="1" applyFont="1" applyAlignment="1">
      <alignment horizontal="center" vertical="center"/>
    </xf>
    <xf numFmtId="165" fontId="2" fillId="0" borderId="0" xfId="1" applyNumberFormat="1" applyFont="1" applyFill="1" applyAlignment="1">
      <alignment horizontal="center" vertical="center"/>
    </xf>
    <xf numFmtId="0" fontId="2" fillId="0" borderId="2" xfId="0" applyFont="1" applyBorder="1" applyAlignment="1">
      <alignment vertical="center"/>
    </xf>
    <xf numFmtId="9" fontId="2" fillId="0" borderId="3" xfId="2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165" fontId="2" fillId="0" borderId="5" xfId="0" applyNumberFormat="1" applyFont="1" applyBorder="1" applyAlignment="1">
      <alignment horizontal="center" vertical="center"/>
    </xf>
    <xf numFmtId="9" fontId="2" fillId="0" borderId="5" xfId="2" applyFont="1" applyBorder="1" applyAlignment="1">
      <alignment horizontal="center" vertical="center"/>
    </xf>
    <xf numFmtId="166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9" fontId="2" fillId="0" borderId="1" xfId="0" applyNumberFormat="1" applyFont="1" applyBorder="1" applyAlignment="1">
      <alignment horizontal="center" vertical="center"/>
    </xf>
    <xf numFmtId="165" fontId="2" fillId="4" borderId="8" xfId="1" applyNumberFormat="1" applyFont="1" applyFill="1" applyBorder="1" applyAlignment="1">
      <alignment horizontal="center" vertical="center"/>
    </xf>
    <xf numFmtId="165" fontId="2" fillId="4" borderId="10" xfId="1" applyNumberFormat="1" applyFont="1" applyFill="1" applyBorder="1" applyAlignment="1">
      <alignment horizontal="center" vertical="center"/>
    </xf>
    <xf numFmtId="165" fontId="2" fillId="4" borderId="12" xfId="1" applyNumberFormat="1" applyFont="1" applyFill="1" applyBorder="1" applyAlignment="1">
      <alignment horizontal="center" vertical="center"/>
    </xf>
    <xf numFmtId="165" fontId="2" fillId="4" borderId="13" xfId="1" applyNumberFormat="1" applyFont="1" applyFill="1" applyBorder="1" applyAlignment="1">
      <alignment horizontal="center" vertical="center"/>
    </xf>
    <xf numFmtId="165" fontId="2" fillId="4" borderId="14" xfId="1" applyNumberFormat="1" applyFont="1" applyFill="1" applyBorder="1" applyAlignment="1">
      <alignment horizontal="center" vertical="center"/>
    </xf>
    <xf numFmtId="165" fontId="2" fillId="4" borderId="15" xfId="1" applyNumberFormat="1" applyFont="1" applyFill="1" applyBorder="1" applyAlignment="1">
      <alignment horizontal="center" vertical="center"/>
    </xf>
    <xf numFmtId="165" fontId="2" fillId="5" borderId="8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2" fillId="4" borderId="8" xfId="1" applyNumberFormat="1" applyFont="1" applyFill="1" applyBorder="1" applyAlignment="1">
      <alignment horizontal="left" vertical="center"/>
    </xf>
    <xf numFmtId="165" fontId="2" fillId="4" borderId="11" xfId="1" applyNumberFormat="1" applyFont="1" applyFill="1" applyBorder="1" applyAlignment="1">
      <alignment horizontal="left" vertical="center"/>
    </xf>
    <xf numFmtId="168" fontId="2" fillId="0" borderId="0" xfId="1" applyNumberFormat="1" applyFont="1" applyAlignment="1">
      <alignment horizontal="center" vertical="center"/>
    </xf>
    <xf numFmtId="10" fontId="2" fillId="0" borderId="0" xfId="2" applyNumberFormat="1" applyFont="1" applyAlignment="1">
      <alignment horizontal="center" vertical="center"/>
    </xf>
    <xf numFmtId="165" fontId="2" fillId="4" borderId="18" xfId="1" applyNumberFormat="1" applyFont="1" applyFill="1" applyBorder="1" applyAlignment="1">
      <alignment horizontal="center" vertical="center"/>
    </xf>
    <xf numFmtId="165" fontId="2" fillId="4" borderId="19" xfId="1" applyNumberFormat="1" applyFont="1" applyFill="1" applyBorder="1" applyAlignment="1">
      <alignment horizontal="center" vertical="center"/>
    </xf>
    <xf numFmtId="165" fontId="2" fillId="5" borderId="20" xfId="1" applyNumberFormat="1" applyFont="1" applyFill="1" applyBorder="1" applyAlignment="1">
      <alignment horizontal="center" vertical="center"/>
    </xf>
    <xf numFmtId="165" fontId="2" fillId="5" borderId="21" xfId="1" applyNumberFormat="1" applyFont="1" applyFill="1" applyBorder="1" applyAlignment="1">
      <alignment horizontal="center" vertical="center"/>
    </xf>
    <xf numFmtId="165" fontId="2" fillId="5" borderId="22" xfId="1" applyNumberFormat="1" applyFont="1" applyFill="1" applyBorder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4" fontId="2" fillId="0" borderId="0" xfId="1" applyNumberFormat="1" applyFont="1" applyAlignment="1">
      <alignment vertical="center"/>
    </xf>
    <xf numFmtId="164" fontId="2" fillId="4" borderId="14" xfId="1" applyNumberFormat="1" applyFont="1" applyFill="1" applyBorder="1" applyAlignment="1">
      <alignment vertical="center"/>
    </xf>
    <xf numFmtId="164" fontId="2" fillId="4" borderId="15" xfId="1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fa-IR"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r>
              <a:rPr lang="fa-IR" sz="2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Mitra" panose="00000400000000000000" pitchFamily="2" charset="-78"/>
              </a:rPr>
              <a:t>نقطه سر به سر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هزینه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Sheet1!$C$2:$H$2</c:f>
              <c:strCache>
                <c:ptCount val="6"/>
                <c:pt idx="0">
                  <c:v>فاز ساخت(هزینه های اولیه، سرمایه گذاری، R&amp;D و ...)</c:v>
                </c:pt>
                <c:pt idx="1">
                  <c:v>اول</c:v>
                </c:pt>
                <c:pt idx="2">
                  <c:v>دوم</c:v>
                </c:pt>
                <c:pt idx="3">
                  <c:v>سوم</c:v>
                </c:pt>
                <c:pt idx="4">
                  <c:v>چهارم</c:v>
                </c:pt>
                <c:pt idx="5">
                  <c:v>پنجم</c:v>
                </c:pt>
              </c:strCache>
            </c:strRef>
          </c:cat>
          <c:val>
            <c:numRef>
              <c:f>Sheet1!$C$20:$H$20</c:f>
              <c:numCache>
                <c:formatCode>_(* #,##0_);_(* \(#,##0\);_(* "-"??_);_(@_)</c:formatCode>
                <c:ptCount val="6"/>
                <c:pt idx="0">
                  <c:v>80000</c:v>
                </c:pt>
                <c:pt idx="1">
                  <c:v>316923.07692307688</c:v>
                </c:pt>
                <c:pt idx="2">
                  <c:v>745443.78698224842</c:v>
                </c:pt>
                <c:pt idx="3">
                  <c:v>1218862.084660901</c:v>
                </c:pt>
                <c:pt idx="4">
                  <c:v>1652600.3991456879</c:v>
                </c:pt>
                <c:pt idx="5">
                  <c:v>2052365.5441928608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A76-484E-BA42-A70628A2516A}"/>
            </c:ext>
          </c:extLst>
        </c:ser>
        <c:ser>
          <c:idx val="1"/>
          <c:order val="1"/>
          <c:tx>
            <c:v>درآمد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Sheet1!$C$2:$H$2</c:f>
              <c:strCache>
                <c:ptCount val="6"/>
                <c:pt idx="0">
                  <c:v>فاز ساخت(هزینه های اولیه، سرمایه گذاری، R&amp;D و ...)</c:v>
                </c:pt>
                <c:pt idx="1">
                  <c:v>اول</c:v>
                </c:pt>
                <c:pt idx="2">
                  <c:v>دوم</c:v>
                </c:pt>
                <c:pt idx="3">
                  <c:v>سوم</c:v>
                </c:pt>
                <c:pt idx="4">
                  <c:v>چهارم</c:v>
                </c:pt>
                <c:pt idx="5">
                  <c:v>پنجم</c:v>
                </c:pt>
              </c:strCache>
            </c:strRef>
          </c:cat>
          <c:val>
            <c:numRef>
              <c:f>Sheet1!$C$27:$H$27</c:f>
              <c:numCache>
                <c:formatCode>_(* #,##0_);_(* \(#,##0\);_(* "-"??_);_(@_)</c:formatCode>
                <c:ptCount val="6"/>
                <c:pt idx="0">
                  <c:v>0</c:v>
                </c:pt>
                <c:pt idx="1">
                  <c:v>278307.69230769231</c:v>
                </c:pt>
                <c:pt idx="2">
                  <c:v>792745.56213017751</c:v>
                </c:pt>
                <c:pt idx="3">
                  <c:v>1359045.0614474281</c:v>
                </c:pt>
                <c:pt idx="4">
                  <c:v>1883144.3576905567</c:v>
                </c:pt>
                <c:pt idx="5">
                  <c:v>2368324.5253748382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A76-484E-BA42-A70628A25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30144"/>
        <c:axId val="86231680"/>
      </c:lineChart>
      <c:catAx>
        <c:axId val="8623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endParaRPr lang="fa-IR"/>
          </a:p>
        </c:txPr>
        <c:crossAx val="86231680"/>
        <c:crosses val="autoZero"/>
        <c:auto val="1"/>
        <c:lblAlgn val="ctr"/>
        <c:lblOffset val="100"/>
        <c:noMultiLvlLbl val="0"/>
      </c:catAx>
      <c:valAx>
        <c:axId val="86231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8623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endParaRPr lang="fa-IR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baseline="0">
                <a:ln w="0"/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B Mitra" panose="00000400000000000000" pitchFamily="2" charset="-78"/>
              </a:defRPr>
            </a:pPr>
            <a:endParaRPr lang="fa-IR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fa-I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r>
              <a:rPr lang="fa-IR" sz="1800" b="1">
                <a:solidFill>
                  <a:sysClr val="windowText" lastClr="000000"/>
                </a:solidFill>
                <a:cs typeface="B Mitra" panose="00000400000000000000" pitchFamily="2" charset="-78"/>
              </a:rPr>
              <a:t>نقطه سر به سر بر اساس هزینه و درآمد تنزیل</a:t>
            </a:r>
            <a:r>
              <a:rPr lang="fa-IR" sz="1800" b="1" baseline="0">
                <a:solidFill>
                  <a:sysClr val="windowText" lastClr="000000"/>
                </a:solidFill>
                <a:cs typeface="B Mitra" panose="00000400000000000000" pitchFamily="2" charset="-78"/>
              </a:rPr>
              <a:t> نشده</a:t>
            </a:r>
            <a:endParaRPr lang="en-US" sz="1800" b="1">
              <a:solidFill>
                <a:sysClr val="windowText" lastClr="000000"/>
              </a:solidFill>
              <a:cs typeface="B Mitra" panose="00000400000000000000" pitchFamily="2" charset="-78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هزینه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Sheet1!$C$2:$H$2</c:f>
              <c:strCache>
                <c:ptCount val="6"/>
                <c:pt idx="0">
                  <c:v>فاز ساخت(هزینه های اولیه، سرمایه گذاری، R&amp;D و ...)</c:v>
                </c:pt>
                <c:pt idx="1">
                  <c:v>اول</c:v>
                </c:pt>
                <c:pt idx="2">
                  <c:v>دوم</c:v>
                </c:pt>
                <c:pt idx="3">
                  <c:v>سوم</c:v>
                </c:pt>
                <c:pt idx="4">
                  <c:v>چهارم</c:v>
                </c:pt>
                <c:pt idx="5">
                  <c:v>پنجم</c:v>
                </c:pt>
              </c:strCache>
            </c:strRef>
          </c:cat>
          <c:val>
            <c:numRef>
              <c:f>Sheet1!$C$18:$H$18</c:f>
              <c:numCache>
                <c:formatCode>_(* #,##0_);_(* \(#,##0\);_(* "-"??_);_(@_)</c:formatCode>
                <c:ptCount val="6"/>
                <c:pt idx="0">
                  <c:v>80000</c:v>
                </c:pt>
                <c:pt idx="1">
                  <c:v>308000</c:v>
                </c:pt>
                <c:pt idx="2">
                  <c:v>1032200</c:v>
                </c:pt>
                <c:pt idx="3">
                  <c:v>2072300</c:v>
                </c:pt>
                <c:pt idx="4">
                  <c:v>3311100</c:v>
                </c:pt>
                <c:pt idx="5">
                  <c:v>4795400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C1B-44FC-94BF-110C805E0F4C}"/>
            </c:ext>
          </c:extLst>
        </c:ser>
        <c:ser>
          <c:idx val="1"/>
          <c:order val="1"/>
          <c:tx>
            <c:v>درآمد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Sheet1!$C$2:$H$2</c:f>
              <c:strCache>
                <c:ptCount val="6"/>
                <c:pt idx="0">
                  <c:v>فاز ساخت(هزینه های اولیه، سرمایه گذاری، R&amp;D و ...)</c:v>
                </c:pt>
                <c:pt idx="1">
                  <c:v>اول</c:v>
                </c:pt>
                <c:pt idx="2">
                  <c:v>دوم</c:v>
                </c:pt>
                <c:pt idx="3">
                  <c:v>سوم</c:v>
                </c:pt>
                <c:pt idx="4">
                  <c:v>چهارم</c:v>
                </c:pt>
                <c:pt idx="5">
                  <c:v>پنجم</c:v>
                </c:pt>
              </c:strCache>
            </c:strRef>
          </c:cat>
          <c:val>
            <c:numRef>
              <c:f>Sheet1!$C$25:$H$25</c:f>
              <c:numCache>
                <c:formatCode>_(* #,##0_);_(* \(#,##0\);_(* "-"??_);_(@_)</c:formatCode>
                <c:ptCount val="6"/>
                <c:pt idx="0">
                  <c:v>0</c:v>
                </c:pt>
                <c:pt idx="1">
                  <c:v>361800</c:v>
                </c:pt>
                <c:pt idx="2">
                  <c:v>1231200</c:v>
                </c:pt>
                <c:pt idx="3">
                  <c:v>2475360</c:v>
                </c:pt>
                <c:pt idx="4">
                  <c:v>3972240</c:v>
                </c:pt>
                <c:pt idx="5">
                  <c:v>5773680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C1B-44FC-94BF-110C805E0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67392"/>
        <c:axId val="86268928"/>
      </c:lineChart>
      <c:catAx>
        <c:axId val="8626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endParaRPr lang="fa-IR"/>
          </a:p>
        </c:txPr>
        <c:crossAx val="86268928"/>
        <c:crosses val="autoZero"/>
        <c:auto val="1"/>
        <c:lblAlgn val="ctr"/>
        <c:lblOffset val="100"/>
        <c:noMultiLvlLbl val="0"/>
      </c:catAx>
      <c:valAx>
        <c:axId val="86268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endParaRPr lang="fa-IR"/>
          </a:p>
        </c:txPr>
        <c:crossAx val="8626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fa-I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1078006</xdr:colOff>
      <xdr:row>40</xdr:row>
      <xdr:rowOff>108857</xdr:rowOff>
    </xdr:from>
    <xdr:to>
      <xdr:col>11</xdr:col>
      <xdr:colOff>1578429</xdr:colOff>
      <xdr:row>59</xdr:row>
      <xdr:rowOff>27215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2C938D6B-E3B9-4640-A00E-6247FB0067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113393</xdr:colOff>
      <xdr:row>60</xdr:row>
      <xdr:rowOff>2721</xdr:rowOff>
    </xdr:from>
    <xdr:to>
      <xdr:col>12</xdr:col>
      <xdr:colOff>13605</xdr:colOff>
      <xdr:row>77</xdr:row>
      <xdr:rowOff>40822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5A87DCF6-B05F-4C82-9AB0-E087FCF596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rightToLeft="1" tabSelected="1" zoomScale="85" zoomScaleNormal="85" workbookViewId="0">
      <pane xSplit="1" ySplit="2" topLeftCell="C3" activePane="bottomRight" state="frozen"/>
      <selection pane="topRight" activeCell="B1" sqref="B1"/>
      <selection pane="bottomLeft" activeCell="A3" sqref="A3"/>
      <selection pane="bottomRight" activeCell="D8" sqref="D8"/>
    </sheetView>
  </sheetViews>
  <sheetFormatPr defaultColWidth="9.125" defaultRowHeight="22.5" x14ac:dyDescent="0.2"/>
  <cols>
    <col min="1" max="1" width="17" style="2" bestFit="1" customWidth="1"/>
    <col min="2" max="2" width="39" style="2" bestFit="1" customWidth="1"/>
    <col min="3" max="3" width="20.125" style="33" bestFit="1" customWidth="1"/>
    <col min="4" max="7" width="12.875" style="33" bestFit="1" customWidth="1"/>
    <col min="8" max="8" width="14.375" style="33" bestFit="1" customWidth="1"/>
    <col min="9" max="9" width="14.25" style="33" bestFit="1" customWidth="1"/>
    <col min="10" max="10" width="8.75" style="33" bestFit="1" customWidth="1"/>
    <col min="11" max="11" width="1.875" style="2" customWidth="1"/>
    <col min="12" max="12" width="24.625" style="2" bestFit="1" customWidth="1"/>
    <col min="13" max="13" width="16.125" style="2" bestFit="1" customWidth="1"/>
    <col min="14" max="14" width="9.125" style="2"/>
    <col min="15" max="15" width="15.375" style="2" bestFit="1" customWidth="1"/>
    <col min="16" max="16384" width="9.125" style="2"/>
  </cols>
  <sheetData>
    <row r="1" spans="1:15" x14ac:dyDescent="0.2">
      <c r="C1" s="33">
        <v>1</v>
      </c>
      <c r="D1" s="33">
        <v>2</v>
      </c>
      <c r="E1" s="33">
        <v>3</v>
      </c>
      <c r="F1" s="33">
        <v>4</v>
      </c>
      <c r="G1" s="33">
        <v>5</v>
      </c>
      <c r="H1" s="33">
        <v>6</v>
      </c>
    </row>
    <row r="2" spans="1:15" ht="45" x14ac:dyDescent="0.2">
      <c r="B2" s="1" t="s">
        <v>0</v>
      </c>
      <c r="C2" s="12" t="s">
        <v>45</v>
      </c>
      <c r="D2" s="33" t="s">
        <v>1</v>
      </c>
      <c r="E2" s="33" t="s">
        <v>2</v>
      </c>
      <c r="F2" s="33" t="s">
        <v>3</v>
      </c>
      <c r="G2" s="33" t="s">
        <v>4</v>
      </c>
      <c r="H2" s="33" t="s">
        <v>5</v>
      </c>
      <c r="I2" s="33" t="s">
        <v>7</v>
      </c>
      <c r="J2" s="33" t="s">
        <v>8</v>
      </c>
    </row>
    <row r="3" spans="1:15" ht="23.25" thickBot="1" x14ac:dyDescent="0.25">
      <c r="A3" s="51" t="s">
        <v>9</v>
      </c>
      <c r="B3" s="2" t="s">
        <v>50</v>
      </c>
      <c r="C3" s="33">
        <v>0</v>
      </c>
      <c r="D3" s="5">
        <v>138000</v>
      </c>
      <c r="E3" s="5">
        <v>180000</v>
      </c>
      <c r="F3" s="5">
        <v>216000</v>
      </c>
      <c r="G3" s="5">
        <v>246000</v>
      </c>
      <c r="H3" s="5">
        <v>270000</v>
      </c>
      <c r="I3" s="5">
        <f>SUM(D3:H3)</f>
        <v>1050000</v>
      </c>
      <c r="J3" s="3">
        <f>(H3/D3)^(1/4)-1</f>
        <v>0.18269066638765286</v>
      </c>
      <c r="K3" s="4"/>
    </row>
    <row r="4" spans="1:15" ht="23.25" thickBot="1" x14ac:dyDescent="0.25">
      <c r="A4" s="51"/>
      <c r="B4" s="2" t="s">
        <v>51</v>
      </c>
      <c r="C4" s="33">
        <v>0</v>
      </c>
      <c r="D4" s="29">
        <v>27000</v>
      </c>
      <c r="E4" s="30">
        <v>54000</v>
      </c>
      <c r="F4" s="30">
        <v>64800</v>
      </c>
      <c r="G4" s="30">
        <v>64800</v>
      </c>
      <c r="H4" s="31">
        <v>64800</v>
      </c>
      <c r="I4" s="14">
        <f>SUM(D4:H4)</f>
        <v>275400</v>
      </c>
      <c r="J4" s="3">
        <f>(H4/D4)^(1/3)-1</f>
        <v>0.33886590016433904</v>
      </c>
      <c r="K4" s="4"/>
    </row>
    <row r="5" spans="1:15" x14ac:dyDescent="0.2">
      <c r="A5" s="51"/>
      <c r="B5" s="2" t="s">
        <v>6</v>
      </c>
      <c r="C5" s="33">
        <v>0</v>
      </c>
      <c r="D5" s="41">
        <f>D4/D3</f>
        <v>0.19565217391304349</v>
      </c>
      <c r="E5" s="41">
        <f t="shared" ref="E5:H5" si="0">E4/E3</f>
        <v>0.3</v>
      </c>
      <c r="F5" s="41">
        <f t="shared" si="0"/>
        <v>0.3</v>
      </c>
      <c r="G5" s="41">
        <f t="shared" si="0"/>
        <v>0.26341463414634148</v>
      </c>
      <c r="H5" s="41">
        <f t="shared" si="0"/>
        <v>0.24</v>
      </c>
      <c r="I5" s="13">
        <f>SUM(D5:H5)</f>
        <v>1.299066808059385</v>
      </c>
      <c r="J5" s="3">
        <f>(H5/D5)^(1/3)-1</f>
        <v>7.0472515754160359E-2</v>
      </c>
      <c r="K5" s="4"/>
    </row>
    <row r="6" spans="1:15" ht="7.5" customHeight="1" x14ac:dyDescent="0.2">
      <c r="A6" s="4"/>
      <c r="B6" s="4"/>
      <c r="C6" s="34"/>
      <c r="D6" s="6"/>
      <c r="E6" s="6"/>
      <c r="F6" s="6"/>
      <c r="G6" s="6"/>
      <c r="H6" s="6"/>
      <c r="I6" s="6"/>
      <c r="J6" s="34"/>
      <c r="K6" s="4"/>
    </row>
    <row r="7" spans="1:15" ht="23.25" thickBot="1" x14ac:dyDescent="0.25">
      <c r="A7" s="51" t="s">
        <v>17</v>
      </c>
      <c r="B7" s="2" t="s">
        <v>49</v>
      </c>
      <c r="C7" s="33">
        <v>0</v>
      </c>
      <c r="D7" s="47">
        <v>11</v>
      </c>
      <c r="E7" s="48">
        <v>13.2</v>
      </c>
      <c r="F7" s="48">
        <v>15.8</v>
      </c>
      <c r="G7" s="47">
        <v>19</v>
      </c>
      <c r="H7" s="48">
        <v>22.8</v>
      </c>
      <c r="I7" s="9"/>
      <c r="J7" s="3">
        <f>(H7/D7)^(1/4)-1</f>
        <v>0.19987371744102989</v>
      </c>
      <c r="K7" s="4"/>
    </row>
    <row r="8" spans="1:15" ht="23.25" thickBot="1" x14ac:dyDescent="0.25">
      <c r="A8" s="51"/>
      <c r="B8" s="2" t="s">
        <v>48</v>
      </c>
      <c r="C8" s="33">
        <v>0</v>
      </c>
      <c r="D8" s="49">
        <v>13.4</v>
      </c>
      <c r="E8" s="49">
        <v>16.100000000000001</v>
      </c>
      <c r="F8" s="49">
        <v>19.2</v>
      </c>
      <c r="G8" s="49">
        <v>23.1</v>
      </c>
      <c r="H8" s="50">
        <v>27.8</v>
      </c>
      <c r="I8" s="9"/>
      <c r="J8" s="3">
        <f>(H8/D8)^(1/4)-1</f>
        <v>0.2001485351612029</v>
      </c>
      <c r="K8" s="4"/>
    </row>
    <row r="9" spans="1:15" x14ac:dyDescent="0.2">
      <c r="A9" s="51"/>
      <c r="B9" s="2" t="s">
        <v>44</v>
      </c>
      <c r="C9" s="33">
        <v>0</v>
      </c>
      <c r="D9" s="40">
        <f>D8-D7</f>
        <v>2.4000000000000004</v>
      </c>
      <c r="E9" s="40">
        <f>E8-E7</f>
        <v>2.9000000000000021</v>
      </c>
      <c r="F9" s="40">
        <f t="shared" ref="F9:H9" si="1">F8-F7</f>
        <v>3.3999999999999986</v>
      </c>
      <c r="G9" s="40">
        <f t="shared" si="1"/>
        <v>4.1000000000000014</v>
      </c>
      <c r="H9" s="7">
        <f t="shared" si="1"/>
        <v>5</v>
      </c>
      <c r="I9" s="9"/>
      <c r="J9" s="3">
        <f t="shared" ref="J9" si="2">(H9/D9)^(1/4)-1</f>
        <v>0.20140570706737715</v>
      </c>
      <c r="K9" s="4"/>
    </row>
    <row r="10" spans="1:15" x14ac:dyDescent="0.2">
      <c r="A10" s="51"/>
      <c r="B10" s="2" t="s">
        <v>18</v>
      </c>
      <c r="C10" s="3">
        <v>0</v>
      </c>
      <c r="D10" s="3">
        <f>IF(D8=0,0,D9/D8)</f>
        <v>0.17910447761194032</v>
      </c>
      <c r="E10" s="3">
        <f t="shared" ref="E10:H10" si="3">IF(E8=0,0,E9/E8)</f>
        <v>0.18012422360248459</v>
      </c>
      <c r="F10" s="3">
        <f t="shared" si="3"/>
        <v>0.17708333333333326</v>
      </c>
      <c r="G10" s="3">
        <f t="shared" si="3"/>
        <v>0.17748917748917753</v>
      </c>
      <c r="H10" s="3">
        <f t="shared" si="3"/>
        <v>0.17985611510791366</v>
      </c>
      <c r="I10" s="9"/>
      <c r="J10" s="3">
        <f>(H10/D10)^(1/4)-1</f>
        <v>1.0475135946446112E-3</v>
      </c>
      <c r="K10" s="4"/>
    </row>
    <row r="11" spans="1:15" ht="7.5" customHeight="1" thickBot="1" x14ac:dyDescent="0.25">
      <c r="A11" s="4"/>
      <c r="B11" s="4"/>
      <c r="C11" s="34"/>
      <c r="D11" s="6"/>
      <c r="E11" s="6"/>
      <c r="F11" s="6"/>
      <c r="G11" s="6"/>
      <c r="H11" s="6"/>
      <c r="I11" s="6"/>
      <c r="J11" s="34"/>
      <c r="K11" s="4"/>
    </row>
    <row r="12" spans="1:15" ht="23.25" thickBot="1" x14ac:dyDescent="0.25">
      <c r="A12" s="51" t="s">
        <v>15</v>
      </c>
      <c r="B12" s="2" t="s">
        <v>10</v>
      </c>
      <c r="C12" s="35">
        <v>6000</v>
      </c>
      <c r="D12" s="27">
        <v>10000</v>
      </c>
      <c r="E12" s="27">
        <v>12000</v>
      </c>
      <c r="F12" s="27">
        <v>14400</v>
      </c>
      <c r="G12" s="27">
        <v>17300</v>
      </c>
      <c r="H12" s="42">
        <v>20700</v>
      </c>
      <c r="I12" s="5">
        <f t="shared" ref="I12:I17" si="4">SUM(C12:H12)</f>
        <v>80400</v>
      </c>
      <c r="J12" s="3">
        <f>(H12/D12)^(1/4)-1</f>
        <v>0.19947882723865362</v>
      </c>
      <c r="K12" s="4"/>
    </row>
    <row r="13" spans="1:15" ht="23.25" thickBot="1" x14ac:dyDescent="0.25">
      <c r="A13" s="51"/>
      <c r="B13" s="2" t="s">
        <v>11</v>
      </c>
      <c r="C13" s="35">
        <v>45000</v>
      </c>
      <c r="D13" s="26">
        <v>20000</v>
      </c>
      <c r="E13" s="27">
        <v>10000</v>
      </c>
      <c r="F13" s="27">
        <v>10000</v>
      </c>
      <c r="G13" s="27">
        <v>1000</v>
      </c>
      <c r="H13" s="42">
        <v>1000</v>
      </c>
      <c r="I13" s="5">
        <f t="shared" si="4"/>
        <v>87000</v>
      </c>
      <c r="J13" s="3">
        <f>(H13/D13)^(1/5)-1</f>
        <v>-0.45071972834694107</v>
      </c>
      <c r="K13" s="4"/>
    </row>
    <row r="14" spans="1:15" ht="23.25" thickBot="1" x14ac:dyDescent="0.25">
      <c r="A14" s="51"/>
      <c r="B14" s="2" t="s">
        <v>12</v>
      </c>
      <c r="C14" s="35">
        <v>17000</v>
      </c>
      <c r="D14" s="38">
        <v>272000</v>
      </c>
      <c r="E14" s="38">
        <v>695000</v>
      </c>
      <c r="F14" s="38">
        <v>1007000</v>
      </c>
      <c r="G14" s="38">
        <v>1210000</v>
      </c>
      <c r="H14" s="39">
        <v>1450000</v>
      </c>
      <c r="I14" s="5">
        <f t="shared" si="4"/>
        <v>4651000</v>
      </c>
      <c r="J14" s="3">
        <f>(H14/D14)^(1/4)-1</f>
        <v>0.51949674660954681</v>
      </c>
      <c r="K14" s="4"/>
    </row>
    <row r="15" spans="1:15" ht="23.25" thickBot="1" x14ac:dyDescent="0.25">
      <c r="A15" s="51"/>
      <c r="B15" s="2" t="s">
        <v>13</v>
      </c>
      <c r="C15" s="35">
        <v>7000</v>
      </c>
      <c r="D15" s="38">
        <v>0</v>
      </c>
      <c r="E15" s="38">
        <v>0</v>
      </c>
      <c r="F15" s="38">
        <v>0</v>
      </c>
      <c r="G15" s="38">
        <v>0</v>
      </c>
      <c r="H15" s="39">
        <v>0</v>
      </c>
      <c r="I15" s="5">
        <f t="shared" si="4"/>
        <v>7000</v>
      </c>
      <c r="J15" s="3" t="e">
        <f>(H15/D15)^(1/4)-1</f>
        <v>#DIV/0!</v>
      </c>
      <c r="K15" s="4"/>
      <c r="O15" s="11"/>
    </row>
    <row r="16" spans="1:15" ht="23.25" thickBot="1" x14ac:dyDescent="0.25">
      <c r="A16" s="51"/>
      <c r="B16" s="2" t="s">
        <v>14</v>
      </c>
      <c r="C16" s="35">
        <v>5000</v>
      </c>
      <c r="D16" s="28">
        <v>6000</v>
      </c>
      <c r="E16" s="28">
        <v>7200</v>
      </c>
      <c r="F16" s="28">
        <v>8700</v>
      </c>
      <c r="G16" s="28">
        <v>10500</v>
      </c>
      <c r="H16" s="43">
        <v>12600</v>
      </c>
      <c r="I16" s="5">
        <f t="shared" si="4"/>
        <v>50000</v>
      </c>
      <c r="J16" s="3">
        <f>(H16/D16)^(1/4)-1</f>
        <v>0.20380134350271595</v>
      </c>
      <c r="K16" s="4"/>
      <c r="O16" s="11"/>
    </row>
    <row r="17" spans="1:24" ht="23.25" thickBot="1" x14ac:dyDescent="0.25">
      <c r="A17" s="51"/>
      <c r="B17" s="2" t="s">
        <v>23</v>
      </c>
      <c r="C17" s="44">
        <f>SUM(C12:C16)</f>
        <v>80000</v>
      </c>
      <c r="D17" s="45">
        <f>SUM(D12:D16)</f>
        <v>308000</v>
      </c>
      <c r="E17" s="45">
        <f t="shared" ref="E17:G17" si="5">SUM(E12:E16)</f>
        <v>724200</v>
      </c>
      <c r="F17" s="45">
        <f t="shared" si="5"/>
        <v>1040100</v>
      </c>
      <c r="G17" s="45">
        <f t="shared" si="5"/>
        <v>1238800</v>
      </c>
      <c r="H17" s="46">
        <f>SUM(H12:H16)</f>
        <v>1484300</v>
      </c>
      <c r="I17" s="5">
        <f t="shared" si="4"/>
        <v>4875400</v>
      </c>
      <c r="J17" s="3">
        <f>(H17/C17)^(1/5)-1</f>
        <v>0.79343788679218319</v>
      </c>
      <c r="K17" s="4"/>
    </row>
    <row r="18" spans="1:24" x14ac:dyDescent="0.2">
      <c r="A18" s="51"/>
      <c r="B18" s="2" t="s">
        <v>16</v>
      </c>
      <c r="C18" s="5">
        <f>C17</f>
        <v>80000</v>
      </c>
      <c r="D18" s="5">
        <f>D17</f>
        <v>308000</v>
      </c>
      <c r="E18" s="5">
        <f>D18+E17</f>
        <v>1032200</v>
      </c>
      <c r="F18" s="5">
        <f t="shared" ref="F18:H18" si="6">E18+F17</f>
        <v>2072300</v>
      </c>
      <c r="G18" s="5">
        <f t="shared" si="6"/>
        <v>3311100</v>
      </c>
      <c r="H18" s="5">
        <f t="shared" si="6"/>
        <v>4795400</v>
      </c>
      <c r="I18" s="9"/>
      <c r="J18" s="36"/>
      <c r="K18" s="4"/>
    </row>
    <row r="19" spans="1:24" x14ac:dyDescent="0.2">
      <c r="A19" s="51"/>
      <c r="B19" s="2" t="s">
        <v>34</v>
      </c>
      <c r="C19" s="5">
        <f>C17/((1+$M$29)^(C1-1))</f>
        <v>80000</v>
      </c>
      <c r="D19" s="5">
        <f t="shared" ref="D19:H19" si="7">D17/((1+$M$29)^(D1-1))</f>
        <v>236923.07692307691</v>
      </c>
      <c r="E19" s="5">
        <f t="shared" si="7"/>
        <v>428520.71005917154</v>
      </c>
      <c r="F19" s="5">
        <f t="shared" si="7"/>
        <v>473418.29767865263</v>
      </c>
      <c r="G19" s="5">
        <f t="shared" si="7"/>
        <v>433738.31448478688</v>
      </c>
      <c r="H19" s="5">
        <f t="shared" si="7"/>
        <v>399765.1450471729</v>
      </c>
      <c r="I19" s="5">
        <f>SUM(C19:H19)</f>
        <v>2052365.5441928608</v>
      </c>
      <c r="J19" s="36"/>
      <c r="K19" s="4"/>
    </row>
    <row r="20" spans="1:24" x14ac:dyDescent="0.2">
      <c r="A20" s="51"/>
      <c r="B20" s="2" t="s">
        <v>38</v>
      </c>
      <c r="C20" s="5">
        <f>C19</f>
        <v>80000</v>
      </c>
      <c r="D20" s="5">
        <f>D19+C20</f>
        <v>316923.07692307688</v>
      </c>
      <c r="E20" s="5">
        <f>E19+D20</f>
        <v>745443.78698224842</v>
      </c>
      <c r="F20" s="5">
        <f t="shared" ref="F20:H20" si="8">F19+E20</f>
        <v>1218862.084660901</v>
      </c>
      <c r="G20" s="5">
        <f t="shared" si="8"/>
        <v>1652600.3991456879</v>
      </c>
      <c r="H20" s="5">
        <f t="shared" si="8"/>
        <v>2052365.5441928608</v>
      </c>
      <c r="I20" s="10"/>
      <c r="J20" s="36"/>
      <c r="K20" s="4"/>
    </row>
    <row r="21" spans="1:24" ht="7.5" customHeight="1" x14ac:dyDescent="0.2">
      <c r="A21" s="4"/>
      <c r="B21" s="4"/>
      <c r="C21" s="34"/>
      <c r="D21" s="6"/>
      <c r="E21" s="6"/>
      <c r="F21" s="6"/>
      <c r="G21" s="6"/>
      <c r="H21" s="6"/>
      <c r="I21" s="6"/>
      <c r="J21" s="34"/>
      <c r="K21" s="4"/>
    </row>
    <row r="22" spans="1:24" x14ac:dyDescent="0.2">
      <c r="A22" s="51" t="s">
        <v>24</v>
      </c>
      <c r="B22" s="2" t="s">
        <v>19</v>
      </c>
      <c r="C22" s="33">
        <v>0</v>
      </c>
      <c r="D22" s="5">
        <f>D8*D4</f>
        <v>361800</v>
      </c>
      <c r="E22" s="5">
        <f t="shared" ref="E22:H22" si="9">E8*E4</f>
        <v>869400.00000000012</v>
      </c>
      <c r="F22" s="5">
        <f t="shared" si="9"/>
        <v>1244160</v>
      </c>
      <c r="G22" s="5">
        <f t="shared" si="9"/>
        <v>1496880</v>
      </c>
      <c r="H22" s="5">
        <f t="shared" si="9"/>
        <v>1801440</v>
      </c>
      <c r="I22" s="5">
        <f>SUM(C22:H22)</f>
        <v>5773680</v>
      </c>
      <c r="J22" s="3">
        <f>(H22/D22)^(1/4)-1</f>
        <v>0.49378402215055472</v>
      </c>
      <c r="K22" s="4"/>
    </row>
    <row r="23" spans="1:24" x14ac:dyDescent="0.2">
      <c r="A23" s="51"/>
      <c r="B23" s="2" t="s">
        <v>21</v>
      </c>
      <c r="C23" s="33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3"/>
      <c r="K23" s="4"/>
    </row>
    <row r="24" spans="1:24" x14ac:dyDescent="0.2">
      <c r="A24" s="51"/>
      <c r="B24" s="2" t="s">
        <v>20</v>
      </c>
      <c r="C24" s="32">
        <f>C23+C22</f>
        <v>0</v>
      </c>
      <c r="D24" s="32">
        <f t="shared" ref="D24:H24" si="10">D23+D22</f>
        <v>361800</v>
      </c>
      <c r="E24" s="32">
        <f t="shared" si="10"/>
        <v>869400.00000000012</v>
      </c>
      <c r="F24" s="32">
        <f t="shared" si="10"/>
        <v>1244160</v>
      </c>
      <c r="G24" s="32">
        <f t="shared" si="10"/>
        <v>1496880</v>
      </c>
      <c r="H24" s="32">
        <f t="shared" si="10"/>
        <v>1801440</v>
      </c>
      <c r="I24" s="5">
        <f>SUM(C24:H24)</f>
        <v>5773680</v>
      </c>
      <c r="J24" s="3">
        <f>(H24/D24)^(1/4)-1</f>
        <v>0.49378402215055472</v>
      </c>
      <c r="K24" s="4"/>
    </row>
    <row r="25" spans="1:24" x14ac:dyDescent="0.2">
      <c r="A25" s="51"/>
      <c r="B25" s="2" t="s">
        <v>22</v>
      </c>
      <c r="C25" s="37">
        <f>C24</f>
        <v>0</v>
      </c>
      <c r="D25" s="5">
        <f>D24+C25</f>
        <v>361800</v>
      </c>
      <c r="E25" s="5">
        <f>E24+D25</f>
        <v>1231200</v>
      </c>
      <c r="F25" s="5">
        <f>F24+E25</f>
        <v>2475360</v>
      </c>
      <c r="G25" s="5">
        <f>G24+F25</f>
        <v>3972240</v>
      </c>
      <c r="H25" s="5">
        <f>H24+G25</f>
        <v>5773680</v>
      </c>
      <c r="I25" s="9"/>
      <c r="J25" s="36"/>
      <c r="K25" s="4"/>
    </row>
    <row r="26" spans="1:24" ht="23.25" thickBot="1" x14ac:dyDescent="0.25">
      <c r="A26" s="51"/>
      <c r="B26" s="2" t="s">
        <v>33</v>
      </c>
      <c r="C26" s="5">
        <f>C24/((1+$M$29)^(C1-1))</f>
        <v>0</v>
      </c>
      <c r="D26" s="5">
        <f t="shared" ref="D26:H26" si="11">D24/((1+$M$29)^(D1-1))</f>
        <v>278307.69230769231</v>
      </c>
      <c r="E26" s="5">
        <f t="shared" si="11"/>
        <v>514437.8698224852</v>
      </c>
      <c r="F26" s="5">
        <f t="shared" si="11"/>
        <v>566299.49931725068</v>
      </c>
      <c r="G26" s="5">
        <f t="shared" si="11"/>
        <v>524099.29624312866</v>
      </c>
      <c r="H26" s="5">
        <f t="shared" si="11"/>
        <v>485180.16768428154</v>
      </c>
      <c r="I26" s="5">
        <f>SUM(C26:H26)</f>
        <v>2368324.5253748382</v>
      </c>
      <c r="J26" s="36"/>
      <c r="K26" s="4"/>
      <c r="S26" s="5"/>
      <c r="T26" s="5"/>
      <c r="U26" s="5"/>
      <c r="V26" s="5"/>
      <c r="W26" s="5"/>
      <c r="X26" s="5"/>
    </row>
    <row r="27" spans="1:24" ht="34.5" thickBot="1" x14ac:dyDescent="0.25">
      <c r="A27" s="1"/>
      <c r="B27" s="2" t="s">
        <v>39</v>
      </c>
      <c r="C27" s="37">
        <f>C26</f>
        <v>0</v>
      </c>
      <c r="D27" s="5">
        <f>D26+C27</f>
        <v>278307.69230769231</v>
      </c>
      <c r="E27" s="5">
        <f>E26+D27</f>
        <v>792745.56213017751</v>
      </c>
      <c r="F27" s="5">
        <f t="shared" ref="F27:H27" si="12">F26+E27</f>
        <v>1359045.0614474281</v>
      </c>
      <c r="G27" s="5">
        <f t="shared" si="12"/>
        <v>1883144.3576905567</v>
      </c>
      <c r="H27" s="5">
        <f t="shared" si="12"/>
        <v>2368324.5253748382</v>
      </c>
      <c r="I27" s="10"/>
      <c r="J27" s="36"/>
      <c r="K27" s="4"/>
      <c r="L27" s="54" t="s">
        <v>52</v>
      </c>
      <c r="M27" s="55"/>
    </row>
    <row r="28" spans="1:24" ht="7.5" customHeight="1" thickBot="1" x14ac:dyDescent="0.25">
      <c r="A28" s="4"/>
      <c r="B28" s="4"/>
      <c r="C28" s="34"/>
      <c r="D28" s="6"/>
      <c r="E28" s="6"/>
      <c r="F28" s="6"/>
      <c r="G28" s="6"/>
      <c r="H28" s="6"/>
      <c r="I28" s="6"/>
      <c r="J28" s="34"/>
      <c r="K28" s="4"/>
      <c r="L28" s="4"/>
      <c r="M28" s="4"/>
    </row>
    <row r="29" spans="1:24" x14ac:dyDescent="0.2">
      <c r="A29" s="51" t="s">
        <v>42</v>
      </c>
      <c r="B29" s="2" t="s">
        <v>47</v>
      </c>
      <c r="C29" s="5">
        <f>C24-C17</f>
        <v>-80000</v>
      </c>
      <c r="D29" s="5">
        <f>D24-D17</f>
        <v>53800</v>
      </c>
      <c r="E29" s="5">
        <f t="shared" ref="E29:H29" si="13">E24-E17</f>
        <v>145200.00000000012</v>
      </c>
      <c r="F29" s="5">
        <f>F24-F17</f>
        <v>204060</v>
      </c>
      <c r="G29" s="5">
        <f t="shared" si="13"/>
        <v>258080</v>
      </c>
      <c r="H29" s="5">
        <f t="shared" si="13"/>
        <v>317140</v>
      </c>
      <c r="I29" s="5">
        <f>SUM(C29:H29)</f>
        <v>898280.00000000012</v>
      </c>
      <c r="J29" s="3">
        <f>(H29/ABS(C29))^(1/4)-1</f>
        <v>0.41104303284205135</v>
      </c>
      <c r="K29" s="4"/>
      <c r="L29" s="15" t="s">
        <v>25</v>
      </c>
      <c r="M29" s="16">
        <v>0.3</v>
      </c>
    </row>
    <row r="30" spans="1:24" x14ac:dyDescent="0.2">
      <c r="A30" s="51"/>
      <c r="B30" s="2" t="s">
        <v>40</v>
      </c>
      <c r="C30" s="5">
        <f>C29/((1+$M$29)^(C1-1))</f>
        <v>-80000</v>
      </c>
      <c r="D30" s="5">
        <f t="shared" ref="D30:H30" si="14">D29/((1+$M$29)^(D1-1))</f>
        <v>41384.615384615383</v>
      </c>
      <c r="E30" s="5">
        <f t="shared" si="14"/>
        <v>85917.15976331367</v>
      </c>
      <c r="F30" s="5">
        <f t="shared" si="14"/>
        <v>92881.201638598068</v>
      </c>
      <c r="G30" s="5">
        <f t="shared" si="14"/>
        <v>90360.981758341775</v>
      </c>
      <c r="H30" s="5">
        <f t="shared" si="14"/>
        <v>85415.022637108676</v>
      </c>
      <c r="I30" s="5">
        <f>SUM(C30:H30)</f>
        <v>315958.98118197755</v>
      </c>
      <c r="J30" s="36"/>
      <c r="K30" s="4"/>
      <c r="L30" s="17" t="s">
        <v>27</v>
      </c>
      <c r="M30" s="18">
        <f>H31</f>
        <v>315958.98118197755</v>
      </c>
      <c r="S30" s="11"/>
    </row>
    <row r="31" spans="1:24" x14ac:dyDescent="0.2">
      <c r="A31" s="51"/>
      <c r="B31" s="2" t="s">
        <v>26</v>
      </c>
      <c r="C31" s="5">
        <f>C30</f>
        <v>-80000</v>
      </c>
      <c r="D31" s="5">
        <f>D30+C31</f>
        <v>-38615.384615384617</v>
      </c>
      <c r="E31" s="5">
        <f>E30+D31</f>
        <v>47301.775147929053</v>
      </c>
      <c r="F31" s="5">
        <f t="shared" ref="F31:H31" si="15">F30+E31</f>
        <v>140182.97678652711</v>
      </c>
      <c r="G31" s="5">
        <f t="shared" si="15"/>
        <v>230543.95854486889</v>
      </c>
      <c r="H31" s="5">
        <f t="shared" si="15"/>
        <v>315958.98118197755</v>
      </c>
      <c r="I31" s="9"/>
      <c r="J31" s="36"/>
      <c r="K31" s="4"/>
      <c r="L31" s="17" t="s">
        <v>28</v>
      </c>
      <c r="M31" s="19">
        <f>(I24-I17)/I17</f>
        <v>0.18424744636337531</v>
      </c>
    </row>
    <row r="32" spans="1:24" ht="23.25" thickBot="1" x14ac:dyDescent="0.25">
      <c r="A32" s="51"/>
      <c r="B32" s="8" t="s">
        <v>35</v>
      </c>
      <c r="C32" s="7" t="b">
        <f>C31&gt;=0</f>
        <v>0</v>
      </c>
      <c r="D32" s="7" t="b">
        <f>D31&gt;=0</f>
        <v>0</v>
      </c>
      <c r="E32" s="7" t="b">
        <f t="shared" ref="E32:H32" si="16">E31&gt;=0</f>
        <v>1</v>
      </c>
      <c r="F32" s="7" t="b">
        <f t="shared" si="16"/>
        <v>1</v>
      </c>
      <c r="G32" s="7" t="b">
        <f t="shared" si="16"/>
        <v>1</v>
      </c>
      <c r="H32" s="7" t="b">
        <f t="shared" si="16"/>
        <v>1</v>
      </c>
      <c r="I32" s="9"/>
      <c r="J32" s="36"/>
      <c r="K32" s="4"/>
      <c r="L32" s="17" t="s">
        <v>29</v>
      </c>
      <c r="M32" s="19">
        <f>M31/H1</f>
        <v>3.0707907727229217E-2</v>
      </c>
    </row>
    <row r="33" spans="1:16" ht="23.25" thickBot="1" x14ac:dyDescent="0.25">
      <c r="A33" s="51"/>
      <c r="C33" s="7" t="str">
        <f t="shared" ref="C33" si="17">IF(C31&gt;0,ABS(B31/(C30/12)),"-")</f>
        <v>-</v>
      </c>
      <c r="D33" s="7" t="str">
        <f>IF(D31&gt;0,ABS(C31/(D30/12)),"-")</f>
        <v>-</v>
      </c>
      <c r="E33" s="7">
        <f t="shared" ref="E33" si="18">IF(E31&gt;0,ABS(D31/(E30/12)),"-")</f>
        <v>5.3933884297520622</v>
      </c>
      <c r="F33" s="7">
        <f>IF(F31&gt;0,ABS(12*E31/(F30)),"-")</f>
        <v>6.1112613937077418</v>
      </c>
      <c r="G33" s="7">
        <f t="shared" ref="G33:H33" si="19">IF(G31&gt;0,ABS(F31/(G30/12)),"-")</f>
        <v>18.61639491630503</v>
      </c>
      <c r="H33" s="7">
        <f t="shared" si="19"/>
        <v>32.389238065207806</v>
      </c>
      <c r="I33" s="9"/>
      <c r="J33" s="36"/>
      <c r="K33" s="4"/>
      <c r="L33" s="17" t="s">
        <v>30</v>
      </c>
      <c r="M33" s="25">
        <f>IRR(C29:H29)</f>
        <v>1.3216927415512822</v>
      </c>
      <c r="P33" s="11"/>
    </row>
    <row r="34" spans="1:16" x14ac:dyDescent="0.2">
      <c r="B34" s="2" t="s">
        <v>46</v>
      </c>
      <c r="C34" s="3">
        <f>C29/C17</f>
        <v>-1</v>
      </c>
      <c r="D34" s="3">
        <f t="shared" ref="D34:H34" si="20">D29/D17</f>
        <v>0.17467532467532468</v>
      </c>
      <c r="E34" s="3">
        <f t="shared" si="20"/>
        <v>0.20049710024855028</v>
      </c>
      <c r="F34" s="3">
        <f t="shared" si="20"/>
        <v>0.19619267378136718</v>
      </c>
      <c r="G34" s="3">
        <f t="shared" si="20"/>
        <v>0.20833064255731354</v>
      </c>
      <c r="H34" s="3">
        <f t="shared" si="20"/>
        <v>0.21366300613083608</v>
      </c>
      <c r="I34" s="5">
        <f>SUM(C34:H34)</f>
        <v>-6.6412526066082778E-3</v>
      </c>
      <c r="K34" s="4"/>
      <c r="L34" s="17" t="s">
        <v>31</v>
      </c>
      <c r="M34" s="19">
        <f>M33/H1</f>
        <v>0.22028212359188037</v>
      </c>
    </row>
    <row r="35" spans="1:16" x14ac:dyDescent="0.2">
      <c r="K35" s="4"/>
      <c r="L35" s="17" t="s">
        <v>32</v>
      </c>
      <c r="M35" s="19">
        <f>I26/I19-1</f>
        <v>0.1539486871994995</v>
      </c>
    </row>
    <row r="36" spans="1:16" x14ac:dyDescent="0.2">
      <c r="K36" s="4"/>
      <c r="L36" s="17" t="s">
        <v>41</v>
      </c>
      <c r="M36" s="20">
        <f>(M39)*12+M40</f>
        <v>29.393388429752061</v>
      </c>
    </row>
    <row r="37" spans="1:16" x14ac:dyDescent="0.2">
      <c r="K37" s="4"/>
      <c r="L37" s="17"/>
      <c r="M37" s="21"/>
    </row>
    <row r="38" spans="1:16" x14ac:dyDescent="0.2">
      <c r="K38" s="4"/>
      <c r="L38" s="52" t="s">
        <v>43</v>
      </c>
      <c r="M38" s="53"/>
    </row>
    <row r="39" spans="1:16" x14ac:dyDescent="0.2">
      <c r="K39" s="4"/>
      <c r="L39" s="17" t="s">
        <v>36</v>
      </c>
      <c r="M39" s="22">
        <f>MATCH(TRUE,D32:H32,0)</f>
        <v>2</v>
      </c>
    </row>
    <row r="40" spans="1:16" ht="23.25" thickBot="1" x14ac:dyDescent="0.25">
      <c r="K40" s="4"/>
      <c r="L40" s="23" t="s">
        <v>37</v>
      </c>
      <c r="M40" s="24">
        <f>INDEX(D33:H33,MATCH(TRUE,D32:H32,0))</f>
        <v>5.3933884297520622</v>
      </c>
    </row>
  </sheetData>
  <mergeCells count="7">
    <mergeCell ref="A22:A26"/>
    <mergeCell ref="L38:M38"/>
    <mergeCell ref="A29:A33"/>
    <mergeCell ref="A3:A5"/>
    <mergeCell ref="A7:A10"/>
    <mergeCell ref="A12:A20"/>
    <mergeCell ref="L27:M27"/>
  </mergeCells>
  <conditionalFormatting sqref="M33">
    <cfRule type="cellIs" dxfId="2" priority="1" operator="equal">
      <formula>$M$29</formula>
    </cfRule>
    <cfRule type="cellIs" dxfId="1" priority="2" operator="lessThan">
      <formula>$M$29</formula>
    </cfRule>
    <cfRule type="cellIs" dxfId="0" priority="3" operator="greaterThan">
      <formula>$M$29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mahmood</cp:lastModifiedBy>
  <dcterms:created xsi:type="dcterms:W3CDTF">2019-04-29T19:53:02Z</dcterms:created>
  <dcterms:modified xsi:type="dcterms:W3CDTF">2021-09-11T08:19:41Z</dcterms:modified>
</cp:coreProperties>
</file>